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groups\hr\hr-all\Legislative Policy and Review\communic_disease\COVID-19\Federal\"/>
    </mc:Choice>
  </mc:AlternateContent>
  <bookViews>
    <workbookView xWindow="0" yWindow="0" windowWidth="28800" windowHeight="11810" tabRatio="591"/>
  </bookViews>
  <sheets>
    <sheet name="Top up calculator" sheetId="3" r:id="rId1"/>
    <sheet name="LISTS" sheetId="2" state="hidden" r:id="rId2"/>
    <sheet name="Test values" sheetId="4" state="hidden" r:id="rId3"/>
  </sheets>
  <definedNames>
    <definedName name="AdjustedHourlyRate">LISTS!#REF!</definedName>
    <definedName name="AdjustedHours">LISTS!#REF!</definedName>
    <definedName name="AdjustedTotalBase">LISTS!$B$42</definedName>
    <definedName name="DailyRate">LISTS!$B$37</definedName>
    <definedName name="Days">LISTS!$B$32</definedName>
    <definedName name="FteHours">LISTS!$B$35</definedName>
    <definedName name="FtePercent">'Top up calculator'!$B$6</definedName>
    <definedName name="HourlyRate">LISTS!$B$38</definedName>
    <definedName name="Hours">LISTS!$B$33</definedName>
    <definedName name="HoursByFte">LISTS!#REF!</definedName>
    <definedName name="LeaveToEnter">LISTS!$B$46</definedName>
    <definedName name="LeaveType">'Top up calculator'!#REF!</definedName>
    <definedName name="PayPerPeriod">LISTS!$B$28</definedName>
    <definedName name="PayThisCheck">'Top up calculator'!$B$5</definedName>
    <definedName name="PeriodEnd">'Top up calculator'!$B$2</definedName>
    <definedName name="RegularPayPerPeriod">LISTS!$B$28</definedName>
    <definedName name="ToMakeUp">LISTS!$B$44</definedName>
    <definedName name="TopUpCheck">LISTS!$D$37</definedName>
    <definedName name="TotalBasePay">'Top up calculator'!$B$4</definedName>
    <definedName name="TotalWages">LISTS!#REF!</definedName>
    <definedName name="UnpaidLeaveHours">'Top up calculator'!$B$7</definedName>
    <definedName name="ValueUnpaidLeave">LISTS!$B$41</definedName>
  </definedNames>
  <calcPr calcId="162913"/>
</workbook>
</file>

<file path=xl/calcChain.xml><?xml version="1.0" encoding="utf-8"?>
<calcChain xmlns="http://schemas.openxmlformats.org/spreadsheetml/2006/main">
  <c r="B34" i="2" l="1"/>
  <c r="B30" i="2" l="1"/>
  <c r="F30" i="4"/>
  <c r="B28" i="2"/>
  <c r="F34" i="4" l="1"/>
  <c r="F33" i="4"/>
  <c r="C11" i="4"/>
  <c r="G11" i="4" s="1"/>
  <c r="H11" i="4" s="1"/>
  <c r="C12" i="4"/>
  <c r="G12" i="4" s="1"/>
  <c r="H12" i="4" s="1"/>
  <c r="C13" i="4"/>
  <c r="F13" i="4" s="1"/>
  <c r="C14" i="4"/>
  <c r="F14" i="4" s="1"/>
  <c r="F41" i="4" l="1"/>
  <c r="F37" i="4"/>
  <c r="F38" i="4" s="1"/>
  <c r="F11" i="4"/>
  <c r="G14" i="4"/>
  <c r="H14" i="4" s="1"/>
  <c r="F12" i="4"/>
  <c r="G13" i="4"/>
  <c r="H13" i="4" s="1"/>
  <c r="C10" i="4"/>
  <c r="E23" i="4"/>
  <c r="F43" i="4" l="1"/>
  <c r="F10" i="4"/>
  <c r="G10" i="4"/>
  <c r="H10" i="4" l="1"/>
  <c r="D25" i="4"/>
  <c r="H22" i="4"/>
  <c r="D26" i="4" l="1"/>
  <c r="F22" i="4"/>
  <c r="B29" i="2"/>
  <c r="B20" i="4" l="1"/>
  <c r="B17" i="4"/>
  <c r="B18" i="4"/>
  <c r="B19" i="4"/>
  <c r="B16" i="4"/>
  <c r="D25" i="2" l="1"/>
  <c r="D24" i="2"/>
  <c r="C19" i="2" l="1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3" i="2"/>
  <c r="D3" i="2" s="1"/>
  <c r="C4" i="2"/>
  <c r="D4" i="2" s="1"/>
  <c r="C2" i="2"/>
  <c r="B32" i="2" l="1"/>
  <c r="B37" i="2" s="1"/>
  <c r="D2" i="2"/>
  <c r="B33" i="2" s="1"/>
  <c r="B35" i="2" s="1"/>
  <c r="B38" i="2" s="1"/>
  <c r="B41" i="2" l="1"/>
  <c r="B42" i="2" s="1"/>
  <c r="B44" i="2" s="1"/>
  <c r="B46" i="2" s="1"/>
  <c r="C46" i="2" l="1"/>
  <c r="B48" i="2"/>
  <c r="B8" i="3"/>
</calcChain>
</file>

<file path=xl/sharedStrings.xml><?xml version="1.0" encoding="utf-8"?>
<sst xmlns="http://schemas.openxmlformats.org/spreadsheetml/2006/main" count="110" uniqueCount="97">
  <si>
    <t>Pay period start</t>
  </si>
  <si>
    <t>Pay period end</t>
  </si>
  <si>
    <t>Workdays</t>
  </si>
  <si>
    <t>Hours</t>
  </si>
  <si>
    <t>https://isc.uw.edu/workday-payroll-calendar/</t>
  </si>
  <si>
    <t>Emergency Paid Sick Time Off - Family</t>
  </si>
  <si>
    <t>Paid EFMLA</t>
  </si>
  <si>
    <t>Type</t>
  </si>
  <si>
    <t>Daily cap</t>
  </si>
  <si>
    <t>Max total</t>
  </si>
  <si>
    <t>Emergency Paid Sick Time Off - Self</t>
  </si>
  <si>
    <t>Pay rate</t>
  </si>
  <si>
    <t>LeaveType</t>
  </si>
  <si>
    <t>The number of hours of sick leave to enter is:</t>
  </si>
  <si>
    <t>='Top up calculator'!$B$5</t>
  </si>
  <si>
    <t>='Top up calculator'!$B$6</t>
  </si>
  <si>
    <t>='Top up calculator'!$B$7</t>
  </si>
  <si>
    <t>PeriodEnd</t>
  </si>
  <si>
    <t>Regular period</t>
  </si>
  <si>
    <t>Days</t>
  </si>
  <si>
    <t>Check</t>
  </si>
  <si>
    <t>='Top up calculator'!#REF!</t>
  </si>
  <si>
    <t>='Top up calculator'!$B$2</t>
  </si>
  <si>
    <t>TotalBasePay</t>
  </si>
  <si>
    <t>What's missing?</t>
  </si>
  <si>
    <t>Regular Earnings (gross this pay period)</t>
  </si>
  <si>
    <t>Daily rate</t>
  </si>
  <si>
    <t>Hourly rate</t>
  </si>
  <si>
    <t>Dollar</t>
  </si>
  <si>
    <t>Rate</t>
  </si>
  <si>
    <t>DailyRate</t>
  </si>
  <si>
    <t>HourlyRate</t>
  </si>
  <si>
    <t>LeaveToEnter</t>
  </si>
  <si>
    <t>Pay period</t>
  </si>
  <si>
    <t>FFCRA</t>
  </si>
  <si>
    <t>REG</t>
  </si>
  <si>
    <t>FROM E &amp; A for an employee</t>
  </si>
  <si>
    <t>Made up values</t>
  </si>
  <si>
    <t>Total Base Pay divided by 2</t>
  </si>
  <si>
    <t>Value of unpaid leave</t>
  </si>
  <si>
    <t>Amount of time off to enter</t>
  </si>
  <si>
    <t>Regular month</t>
  </si>
  <si>
    <t>FFCRA Rate</t>
  </si>
  <si>
    <t>Daily</t>
  </si>
  <si>
    <t>Hourly</t>
  </si>
  <si>
    <t>=LISTS!$B$36</t>
  </si>
  <si>
    <t>=LISTS!$B$33</t>
  </si>
  <si>
    <t>=LISTS!$B$43</t>
  </si>
  <si>
    <t>PayPerPeriod</t>
  </si>
  <si>
    <t>RegularPayPerPeriod</t>
  </si>
  <si>
    <t>ToMakeUp</t>
  </si>
  <si>
    <t>TopUpCheck</t>
  </si>
  <si>
    <t>TotalWages</t>
  </si>
  <si>
    <t>=LISTS!#REF!</t>
  </si>
  <si>
    <t>UnpaidLeaveHours</t>
  </si>
  <si>
    <t>ValueUnpaidLeave</t>
  </si>
  <si>
    <t>Hours on FFCRA</t>
  </si>
  <si>
    <t>FFCRA value</t>
  </si>
  <si>
    <t>Paycheck</t>
  </si>
  <si>
    <t>TBP</t>
  </si>
  <si>
    <t>Divide by 2</t>
  </si>
  <si>
    <t>Day rate</t>
  </si>
  <si>
    <t>Hour rate</t>
  </si>
  <si>
    <t>Hours on unpaid</t>
  </si>
  <si>
    <t>Value</t>
  </si>
  <si>
    <t>Unpaid leave?</t>
  </si>
  <si>
    <t>Adjusted Total Base Pay this period</t>
  </si>
  <si>
    <t>=LISTS!$B$28</t>
  </si>
  <si>
    <t>=LISTS!$B$32</t>
  </si>
  <si>
    <t>PayThisCheck</t>
  </si>
  <si>
    <t>=LISTS!$D$37</t>
  </si>
  <si>
    <t>AdjustedTotalBase</t>
  </si>
  <si>
    <t>Unpaid time off</t>
  </si>
  <si>
    <t>For more information on leaves associated with FFCRA, visit UWHR's webpage on the Emergency Paid Sick Time Off  and Expanded Family and Medical Leave Act through the links below:</t>
  </si>
  <si>
    <t>Emergency Paid Sick Time Off</t>
  </si>
  <si>
    <t>Expanded Family and Medical Leave</t>
  </si>
  <si>
    <t>FtePercent</t>
  </si>
  <si>
    <t>='Top up calculator'!$B$4</t>
  </si>
  <si>
    <t>Adjusted hourly rate</t>
  </si>
  <si>
    <t>AdjustedHourlyRate</t>
  </si>
  <si>
    <t>=LISTS!$B$40</t>
  </si>
  <si>
    <t>AdjustedHours</t>
  </si>
  <si>
    <t>HoursByFte</t>
  </si>
  <si>
    <t>=LISTS!$B$45</t>
  </si>
  <si>
    <r>
      <t xml:space="preserve">2a. Run an </t>
    </r>
    <r>
      <rPr>
        <b/>
        <sz val="16"/>
        <rFont val="Arial"/>
        <family val="2"/>
      </rPr>
      <t>Earnings &amp; Actuals Report R0100.2</t>
    </r>
    <r>
      <rPr>
        <sz val="16"/>
        <rFont val="Arial"/>
        <family val="2"/>
      </rPr>
      <t xml:space="preserve"> in Workday for the pay period selected above.
2b. Export the report to Excel.</t>
    </r>
  </si>
  <si>
    <r>
      <t xml:space="preserve">3. Enter the employee's </t>
    </r>
    <r>
      <rPr>
        <b/>
        <sz val="16"/>
        <rFont val="Arial"/>
        <family val="2"/>
      </rPr>
      <t>Total Base Pay - Amount</t>
    </r>
    <r>
      <rPr>
        <sz val="16"/>
        <rFont val="Arial"/>
        <family val="2"/>
      </rPr>
      <t xml:space="preserve"> in the box to the right. </t>
    </r>
  </si>
  <si>
    <r>
      <t xml:space="preserve">5. Enter the employee's </t>
    </r>
    <r>
      <rPr>
        <b/>
        <sz val="16"/>
        <rFont val="Arial"/>
        <family val="2"/>
      </rPr>
      <t>FTE percentage</t>
    </r>
    <r>
      <rPr>
        <sz val="16"/>
        <rFont val="Arial"/>
        <family val="2"/>
      </rPr>
      <t xml:space="preserve"> (such as 1.0, 0.9, 0.5, etc) in the box to the right.</t>
    </r>
  </si>
  <si>
    <r>
      <t xml:space="preserve">6. Enter the number of hours the employee was on </t>
    </r>
    <r>
      <rPr>
        <b/>
        <sz val="16"/>
        <rFont val="Arial"/>
        <family val="2"/>
      </rPr>
      <t>Unpaid Time Off</t>
    </r>
    <r>
      <rPr>
        <sz val="16"/>
        <rFont val="Arial"/>
        <family val="2"/>
      </rPr>
      <t xml:space="preserve"> during this pay period or zero (0) if none.</t>
    </r>
  </si>
  <si>
    <t>Adjusted pay period hours</t>
  </si>
  <si>
    <t>=LISTS!$B$41</t>
  </si>
  <si>
    <t>FteHours</t>
  </si>
  <si>
    <t>=LISTS!$B$34</t>
  </si>
  <si>
    <t>=LISTS!$B$37</t>
  </si>
  <si>
    <t>FTE percent</t>
  </si>
  <si>
    <r>
      <t xml:space="preserve">1. Select the </t>
    </r>
    <r>
      <rPr>
        <b/>
        <sz val="16"/>
        <rFont val="Arial"/>
        <family val="2"/>
      </rPr>
      <t>pay period end date</t>
    </r>
    <r>
      <rPr>
        <sz val="16"/>
        <rFont val="Arial"/>
        <family val="2"/>
      </rPr>
      <t xml:space="preserve"> from the drop down box to the right.</t>
    </r>
  </si>
  <si>
    <r>
      <t xml:space="preserve">4. Enter the sum of </t>
    </r>
    <r>
      <rPr>
        <b/>
        <sz val="16"/>
        <rFont val="Arial"/>
        <family val="2"/>
      </rPr>
      <t xml:space="preserve">Debit Amount </t>
    </r>
    <r>
      <rPr>
        <sz val="16"/>
        <rFont val="Arial"/>
        <family val="2"/>
      </rPr>
      <t xml:space="preserve">for all paid earnings (regular and paid time off such as REG, VAC, S/L, ESF, ESS, CVF, etc) in the box to the right. 
</t>
    </r>
    <r>
      <rPr>
        <i/>
        <sz val="14"/>
        <rFont val="Arial"/>
        <family val="2"/>
      </rPr>
      <t>For workers on a temporary pay increase (TPI), do not include the TPI earnings in this sum.</t>
    </r>
  </si>
  <si>
    <t>FFCRA Top Up Time Off Calculator (updated May 26,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</si>
</sst>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u/>
      <sz val="14"/>
      <color theme="10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0" borderId="0" xfId="2"/>
    <xf numFmtId="0" fontId="3" fillId="0" borderId="0" xfId="0" applyFont="1"/>
    <xf numFmtId="44" fontId="0" fillId="0" borderId="0" xfId="1" applyFont="1"/>
    <xf numFmtId="44" fontId="0" fillId="0" borderId="0" xfId="0" applyNumberFormat="1"/>
    <xf numFmtId="14" fontId="4" fillId="0" borderId="0" xfId="0" applyNumberFormat="1" applyFont="1"/>
    <xf numFmtId="44" fontId="3" fillId="0" borderId="0" xfId="1" applyFont="1"/>
    <xf numFmtId="0" fontId="4" fillId="0" borderId="0" xfId="0" applyFont="1"/>
    <xf numFmtId="0" fontId="4" fillId="0" borderId="0" xfId="0" applyFont="1" applyAlignment="1">
      <alignment vertical="top" wrapText="1"/>
    </xf>
    <xf numFmtId="2" fontId="0" fillId="0" borderId="0" xfId="0" applyNumberFormat="1"/>
    <xf numFmtId="0" fontId="5" fillId="0" borderId="0" xfId="0" applyFont="1"/>
    <xf numFmtId="0" fontId="3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8" fillId="0" borderId="6" xfId="0" applyNumberFormat="1" applyFont="1" applyBorder="1" applyAlignment="1" applyProtection="1">
      <alignment horizontal="center" vertical="top"/>
      <protection locked="0"/>
    </xf>
    <xf numFmtId="44" fontId="8" fillId="0" borderId="6" xfId="1" applyFont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/>
      <protection locked="0"/>
    </xf>
    <xf numFmtId="0" fontId="8" fillId="0" borderId="5" xfId="0" applyFont="1" applyBorder="1" applyAlignment="1">
      <alignment horizontal="left" vertical="top" wrapText="1"/>
    </xf>
    <xf numFmtId="164" fontId="8" fillId="4" borderId="6" xfId="0" applyNumberFormat="1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" fillId="0" borderId="0" xfId="0" applyFont="1"/>
    <xf numFmtId="0" fontId="8" fillId="0" borderId="6" xfId="0" applyFont="1" applyBorder="1" applyAlignment="1" applyProtection="1">
      <alignment horizontal="right"/>
      <protection locked="0"/>
    </xf>
    <xf numFmtId="0" fontId="8" fillId="4" borderId="6" xfId="0" applyFont="1" applyFill="1" applyBorder="1" applyAlignment="1" applyProtection="1">
      <alignment horizontal="right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m/d/yyyy"/>
    </dxf>
    <dxf>
      <numFmt numFmtId="19" formatCode="m/d/yyyy"/>
    </dxf>
    <dxf>
      <fill>
        <patternFill patternType="lightGrid"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190500</xdr:rowOff>
    </xdr:from>
    <xdr:to>
      <xdr:col>0</xdr:col>
      <xdr:colOff>2420424</xdr:colOff>
      <xdr:row>0</xdr:row>
      <xdr:rowOff>668341</xdr:rowOff>
    </xdr:to>
    <xdr:pic>
      <xdr:nvPicPr>
        <xdr:cNvPr id="7" name="Picture 6" descr="C:\Users\valhoyw\AppData\Local\Microsoft\Windows\INetCache\Content.Word\uwhr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0"/>
          <a:ext cx="2229923" cy="4778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PayPeriods" displayName="PayPeriods" ref="A1:D19" totalsRowShown="0">
  <autoFilter ref="A1:D19"/>
  <tableColumns count="4">
    <tableColumn id="1" name="Pay period start" dataDxfId="6"/>
    <tableColumn id="2" name="Pay period end" dataDxfId="5"/>
    <tableColumn id="3" name="Workdays" dataDxfId="4">
      <calculatedColumnFormula>NETWORKDAYS(PayPeriods[[#This Row],[Pay period start]],PayPeriods[[#This Row],[Pay period end]])</calculatedColumnFormula>
    </tableColumn>
    <tableColumn id="4" name="Hours">
      <calculatedColumnFormula>C2*8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LeaveTypes" displayName="LeaveTypes" ref="A23:D26" totalsRowShown="0" headerRowDxfId="3">
  <autoFilter ref="A23:D26"/>
  <tableColumns count="4">
    <tableColumn id="1" name="Type" dataDxfId="2"/>
    <tableColumn id="2" name="Daily cap" dataDxfId="1" dataCellStyle="Currency"/>
    <tableColumn id="3" name="Max total" dataDxfId="0" dataCellStyle="Currency"/>
    <tableColumn id="4" name="Pay r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r.uw.edu/coronavirus/time-away-from-work/emergency-paid-sick-leave-act/" TargetMode="External"/><Relationship Id="rId1" Type="http://schemas.openxmlformats.org/officeDocument/2006/relationships/hyperlink" Target="https://hr.uw.edu/coronavirus/time-away-from-work/emergency-paid-sick-leave-ac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sc.uw.edu/workday-payroll-calendar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2"/>
  <sheetViews>
    <sheetView showGridLines="0" tabSelected="1" zoomScale="70" zoomScaleNormal="70" workbookViewId="0">
      <selection activeCell="B2" sqref="B2"/>
    </sheetView>
  </sheetViews>
  <sheetFormatPr defaultColWidth="9.1796875" defaultRowHeight="15.5" x14ac:dyDescent="0.35"/>
  <cols>
    <col min="1" max="1" width="109.81640625" style="10" customWidth="1"/>
    <col min="2" max="2" width="62.1796875" style="9" customWidth="1"/>
    <col min="3" max="3" width="53.54296875" style="9" customWidth="1"/>
    <col min="4" max="16384" width="9.1796875" style="9"/>
  </cols>
  <sheetData>
    <row r="1" spans="1:2" ht="84.75" customHeight="1" x14ac:dyDescent="0.35">
      <c r="A1" s="38" t="s">
        <v>96</v>
      </c>
      <c r="B1" s="39"/>
    </row>
    <row r="2" spans="1:2" ht="62.25" customHeight="1" x14ac:dyDescent="0.35">
      <c r="A2" s="31" t="s">
        <v>94</v>
      </c>
      <c r="B2" s="26"/>
    </row>
    <row r="3" spans="1:2" ht="62.25" customHeight="1" x14ac:dyDescent="0.35">
      <c r="A3" s="40" t="s">
        <v>84</v>
      </c>
      <c r="B3" s="41"/>
    </row>
    <row r="4" spans="1:2" ht="62.25" customHeight="1" x14ac:dyDescent="0.35">
      <c r="A4" s="31" t="s">
        <v>85</v>
      </c>
      <c r="B4" s="27"/>
    </row>
    <row r="5" spans="1:2" ht="62.25" customHeight="1" x14ac:dyDescent="0.4">
      <c r="A5" s="33" t="s">
        <v>95</v>
      </c>
      <c r="B5" s="32"/>
    </row>
    <row r="6" spans="1:2" ht="62.25" customHeight="1" x14ac:dyDescent="0.4">
      <c r="A6" s="34" t="s">
        <v>86</v>
      </c>
      <c r="B6" s="36"/>
    </row>
    <row r="7" spans="1:2" ht="62.25" customHeight="1" x14ac:dyDescent="0.4">
      <c r="A7" s="33" t="s">
        <v>87</v>
      </c>
      <c r="B7" s="37"/>
    </row>
    <row r="8" spans="1:2" ht="62.25" customHeight="1" thickBot="1" x14ac:dyDescent="0.4">
      <c r="A8" s="19" t="s">
        <v>13</v>
      </c>
      <c r="B8" s="20" t="str">
        <f>IF(PeriodEnd="","Pay period cannot be blank",IF(TotalBasePay="","Total base pay cannot be blank",IF(PayThisCheck="","Regular earnings cannot be blank",IF(FtePercent="","FTE percentaged cannot be blank",IF(UnpaidLeaveHours="","Enter unpaid leave hours or zero (0) if none",LeaveToEnter)))))</f>
        <v>Pay period cannot be blank</v>
      </c>
    </row>
    <row r="9" spans="1:2" ht="50.25" customHeight="1" x14ac:dyDescent="0.35">
      <c r="A9" s="28"/>
      <c r="B9" s="29"/>
    </row>
    <row r="10" spans="1:2" ht="39.75" customHeight="1" x14ac:dyDescent="0.35">
      <c r="A10" s="10" t="s">
        <v>73</v>
      </c>
      <c r="B10" s="10"/>
    </row>
    <row r="11" spans="1:2" ht="39.75" customHeight="1" x14ac:dyDescent="0.4">
      <c r="A11" s="30" t="s">
        <v>74</v>
      </c>
    </row>
    <row r="12" spans="1:2" ht="39.75" customHeight="1" x14ac:dyDescent="0.4">
      <c r="A12" s="30" t="s">
        <v>75</v>
      </c>
      <c r="B12" s="3"/>
    </row>
  </sheetData>
  <sheetProtection algorithmName="SHA-512" hashValue="+X6mGRbAW0rLmdy7C6xoVrDjOwG7AJe4nG/HC3BREfjJ2pxfe2J8nn9/0pHthSSmvxMAiNAKqBKXDBuG4rP9xQ==" saltValue="Gu9wCEzBWV3WUooXRjeQUw==" spinCount="100000" sheet="1" selectLockedCells="1"/>
  <mergeCells count="2">
    <mergeCell ref="A1:B1"/>
    <mergeCell ref="A3:B3"/>
  </mergeCells>
  <dataValidations count="2">
    <dataValidation showInputMessage="1" error="Cell cannot be blank" sqref="B5"/>
    <dataValidation type="decimal" showInputMessage="1" showErrorMessage="1" errorTitle="Error" error="Enter a value between 0 and 1." sqref="B6">
      <formula1>0</formula1>
      <formula2>1</formula2>
    </dataValidation>
  </dataValidations>
  <hyperlinks>
    <hyperlink ref="A11" r:id="rId1"/>
    <hyperlink ref="A12" r:id="rId2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E4A97DE-5DC8-402D-86E5-5D48F4515A4F}">
            <xm:f>LISTS!#REF!</xm:f>
            <x14:dxf>
              <fill>
                <patternFill patternType="lightGrid">
                  <bgColor theme="2"/>
                </patternFill>
              </fill>
            </x14:dxf>
          </x14:cfRule>
          <xm:sqref>B2 A8:B9 B6:B7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LISTS!$B$2:$B$19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5"/>
  <sheetViews>
    <sheetView topLeftCell="A16" zoomScaleNormal="100" workbookViewId="0">
      <selection activeCell="A28" sqref="A28"/>
    </sheetView>
  </sheetViews>
  <sheetFormatPr defaultRowHeight="12.5" x14ac:dyDescent="0.25"/>
  <cols>
    <col min="1" max="1" width="69" bestFit="1" customWidth="1"/>
    <col min="2" max="2" width="34.54296875" bestFit="1" customWidth="1"/>
    <col min="3" max="5" width="15.26953125" customWidth="1"/>
    <col min="6" max="7" width="27" customWidth="1"/>
    <col min="8" max="8" width="17.726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ht="15.5" x14ac:dyDescent="0.35">
      <c r="A2" s="1">
        <v>43922</v>
      </c>
      <c r="B2" s="7">
        <v>43936</v>
      </c>
      <c r="C2">
        <f>NETWORKDAYS(PayPeriods[[#This Row],[Pay period start]],PayPeriods[[#This Row],[Pay period end]])</f>
        <v>11</v>
      </c>
      <c r="D2">
        <f>C2*8</f>
        <v>88</v>
      </c>
    </row>
    <row r="3" spans="1:4" ht="15.5" x14ac:dyDescent="0.35">
      <c r="A3" s="1">
        <v>43937</v>
      </c>
      <c r="B3" s="7">
        <v>43951</v>
      </c>
      <c r="C3">
        <f>NETWORKDAYS(PayPeriods[[#This Row],[Pay period start]],PayPeriods[[#This Row],[Pay period end]])</f>
        <v>11</v>
      </c>
      <c r="D3">
        <f t="shared" ref="D3:D5" si="0">C3*8</f>
        <v>88</v>
      </c>
    </row>
    <row r="4" spans="1:4" ht="15.5" x14ac:dyDescent="0.35">
      <c r="A4" s="1">
        <v>43952</v>
      </c>
      <c r="B4" s="7">
        <v>43966</v>
      </c>
      <c r="C4">
        <f>NETWORKDAYS(PayPeriods[[#This Row],[Pay period start]],PayPeriods[[#This Row],[Pay period end]])</f>
        <v>11</v>
      </c>
      <c r="D4">
        <f t="shared" si="0"/>
        <v>88</v>
      </c>
    </row>
    <row r="5" spans="1:4" ht="15.5" x14ac:dyDescent="0.35">
      <c r="A5" s="1">
        <v>43967</v>
      </c>
      <c r="B5" s="7">
        <v>43982</v>
      </c>
      <c r="C5">
        <f>NETWORKDAYS(PayPeriods[[#This Row],[Pay period start]],PayPeriods[[#This Row],[Pay period end]])</f>
        <v>10</v>
      </c>
      <c r="D5">
        <f t="shared" si="0"/>
        <v>80</v>
      </c>
    </row>
    <row r="6" spans="1:4" ht="15.5" x14ac:dyDescent="0.35">
      <c r="A6" s="1">
        <v>43983</v>
      </c>
      <c r="B6" s="7">
        <v>43997</v>
      </c>
      <c r="C6" s="2">
        <f>NETWORKDAYS(PayPeriods[[#This Row],[Pay period start]],PayPeriods[[#This Row],[Pay period end]])</f>
        <v>11</v>
      </c>
      <c r="D6">
        <f t="shared" ref="D6:D19" si="1">C6*8</f>
        <v>88</v>
      </c>
    </row>
    <row r="7" spans="1:4" ht="15.5" x14ac:dyDescent="0.35">
      <c r="A7" s="1">
        <v>43998</v>
      </c>
      <c r="B7" s="7">
        <v>44012</v>
      </c>
      <c r="C7" s="2">
        <f>NETWORKDAYS(PayPeriods[[#This Row],[Pay period start]],PayPeriods[[#This Row],[Pay period end]])</f>
        <v>11</v>
      </c>
      <c r="D7">
        <f t="shared" si="1"/>
        <v>88</v>
      </c>
    </row>
    <row r="8" spans="1:4" ht="15.5" x14ac:dyDescent="0.35">
      <c r="A8" s="1">
        <v>44013</v>
      </c>
      <c r="B8" s="7">
        <v>44027</v>
      </c>
      <c r="C8" s="2">
        <f>NETWORKDAYS(PayPeriods[[#This Row],[Pay period start]],PayPeriods[[#This Row],[Pay period end]])</f>
        <v>11</v>
      </c>
      <c r="D8">
        <f t="shared" si="1"/>
        <v>88</v>
      </c>
    </row>
    <row r="9" spans="1:4" ht="15.5" x14ac:dyDescent="0.35">
      <c r="A9" s="1">
        <v>44028</v>
      </c>
      <c r="B9" s="7">
        <v>44043</v>
      </c>
      <c r="C9" s="2">
        <f>NETWORKDAYS(PayPeriods[[#This Row],[Pay period start]],PayPeriods[[#This Row],[Pay period end]])</f>
        <v>12</v>
      </c>
      <c r="D9">
        <f t="shared" si="1"/>
        <v>96</v>
      </c>
    </row>
    <row r="10" spans="1:4" ht="15.5" x14ac:dyDescent="0.35">
      <c r="A10" s="1">
        <v>44044</v>
      </c>
      <c r="B10" s="7">
        <v>44058</v>
      </c>
      <c r="C10" s="2">
        <f>NETWORKDAYS(PayPeriods[[#This Row],[Pay period start]],PayPeriods[[#This Row],[Pay period end]])</f>
        <v>10</v>
      </c>
      <c r="D10">
        <f t="shared" si="1"/>
        <v>80</v>
      </c>
    </row>
    <row r="11" spans="1:4" ht="15.5" x14ac:dyDescent="0.35">
      <c r="A11" s="1">
        <v>44059</v>
      </c>
      <c r="B11" s="7">
        <v>44074</v>
      </c>
      <c r="C11" s="2">
        <f>NETWORKDAYS(PayPeriods[[#This Row],[Pay period start]],PayPeriods[[#This Row],[Pay period end]])</f>
        <v>11</v>
      </c>
      <c r="D11">
        <f t="shared" si="1"/>
        <v>88</v>
      </c>
    </row>
    <row r="12" spans="1:4" ht="15.5" x14ac:dyDescent="0.35">
      <c r="A12" s="1">
        <v>44075</v>
      </c>
      <c r="B12" s="7">
        <v>44089</v>
      </c>
      <c r="C12" s="2">
        <f>NETWORKDAYS(PayPeriods[[#This Row],[Pay period start]],PayPeriods[[#This Row],[Pay period end]])</f>
        <v>11</v>
      </c>
      <c r="D12">
        <f t="shared" si="1"/>
        <v>88</v>
      </c>
    </row>
    <row r="13" spans="1:4" ht="15.5" x14ac:dyDescent="0.35">
      <c r="A13" s="1">
        <v>44090</v>
      </c>
      <c r="B13" s="7">
        <v>44104</v>
      </c>
      <c r="C13" s="2">
        <f>NETWORKDAYS(PayPeriods[[#This Row],[Pay period start]],PayPeriods[[#This Row],[Pay period end]])</f>
        <v>11</v>
      </c>
      <c r="D13">
        <f t="shared" si="1"/>
        <v>88</v>
      </c>
    </row>
    <row r="14" spans="1:4" ht="15.5" x14ac:dyDescent="0.35">
      <c r="A14" s="1">
        <v>44105</v>
      </c>
      <c r="B14" s="7">
        <v>44119</v>
      </c>
      <c r="C14" s="2">
        <f>NETWORKDAYS(PayPeriods[[#This Row],[Pay period start]],PayPeriods[[#This Row],[Pay period end]])</f>
        <v>11</v>
      </c>
      <c r="D14">
        <f t="shared" si="1"/>
        <v>88</v>
      </c>
    </row>
    <row r="15" spans="1:4" ht="15.5" x14ac:dyDescent="0.35">
      <c r="A15" s="1">
        <v>44120</v>
      </c>
      <c r="B15" s="7">
        <v>44135</v>
      </c>
      <c r="C15" s="2">
        <f>NETWORKDAYS(PayPeriods[[#This Row],[Pay period start]],PayPeriods[[#This Row],[Pay period end]])</f>
        <v>11</v>
      </c>
      <c r="D15">
        <f t="shared" si="1"/>
        <v>88</v>
      </c>
    </row>
    <row r="16" spans="1:4" ht="15.5" x14ac:dyDescent="0.35">
      <c r="A16" s="1">
        <v>44136</v>
      </c>
      <c r="B16" s="7">
        <v>44150</v>
      </c>
      <c r="C16" s="2">
        <f>NETWORKDAYS(PayPeriods[[#This Row],[Pay period start]],PayPeriods[[#This Row],[Pay period end]])</f>
        <v>10</v>
      </c>
      <c r="D16">
        <f t="shared" si="1"/>
        <v>80</v>
      </c>
    </row>
    <row r="17" spans="1:7" ht="15.5" x14ac:dyDescent="0.35">
      <c r="A17" s="1">
        <v>44151</v>
      </c>
      <c r="B17" s="7">
        <v>44165</v>
      </c>
      <c r="C17" s="2">
        <f>NETWORKDAYS(PayPeriods[[#This Row],[Pay period start]],PayPeriods[[#This Row],[Pay period end]])</f>
        <v>11</v>
      </c>
      <c r="D17">
        <f t="shared" si="1"/>
        <v>88</v>
      </c>
    </row>
    <row r="18" spans="1:7" ht="15.5" x14ac:dyDescent="0.35">
      <c r="A18" s="1">
        <v>44166</v>
      </c>
      <c r="B18" s="7">
        <v>44180</v>
      </c>
      <c r="C18" s="2">
        <f>NETWORKDAYS(PayPeriods[[#This Row],[Pay period start]],PayPeriods[[#This Row],[Pay period end]])</f>
        <v>11</v>
      </c>
      <c r="D18">
        <f t="shared" si="1"/>
        <v>88</v>
      </c>
    </row>
    <row r="19" spans="1:7" ht="15.5" x14ac:dyDescent="0.35">
      <c r="A19" s="1">
        <v>44181</v>
      </c>
      <c r="B19" s="7">
        <v>44196</v>
      </c>
      <c r="C19" s="2">
        <f>NETWORKDAYS(PayPeriods[[#This Row],[Pay period start]],PayPeriods[[#This Row],[Pay period end]])</f>
        <v>12</v>
      </c>
      <c r="D19">
        <f t="shared" si="1"/>
        <v>96</v>
      </c>
    </row>
    <row r="21" spans="1:7" x14ac:dyDescent="0.25">
      <c r="A21" s="3" t="s">
        <v>4</v>
      </c>
    </row>
    <row r="23" spans="1:7" x14ac:dyDescent="0.25">
      <c r="A23" s="4" t="s">
        <v>7</v>
      </c>
      <c r="B23" s="4" t="s">
        <v>8</v>
      </c>
      <c r="C23" s="4" t="s">
        <v>9</v>
      </c>
      <c r="D23" s="4" t="s">
        <v>11</v>
      </c>
    </row>
    <row r="24" spans="1:7" ht="15.5" x14ac:dyDescent="0.35">
      <c r="A24" s="12" t="s">
        <v>5</v>
      </c>
      <c r="B24" s="5">
        <v>200</v>
      </c>
      <c r="C24" s="5">
        <v>2000</v>
      </c>
      <c r="D24">
        <f>2/3</f>
        <v>0.66666666666666663</v>
      </c>
    </row>
    <row r="25" spans="1:7" ht="15.5" x14ac:dyDescent="0.35">
      <c r="A25" s="12" t="s">
        <v>6</v>
      </c>
      <c r="B25" s="5">
        <v>200</v>
      </c>
      <c r="C25" s="5">
        <v>10000</v>
      </c>
      <c r="D25">
        <f>2/3</f>
        <v>0.66666666666666663</v>
      </c>
    </row>
    <row r="26" spans="1:7" ht="15.5" x14ac:dyDescent="0.35">
      <c r="A26" s="12" t="s">
        <v>10</v>
      </c>
      <c r="B26" s="5">
        <v>511</v>
      </c>
      <c r="C26" s="5">
        <v>5110</v>
      </c>
      <c r="D26">
        <v>1</v>
      </c>
    </row>
    <row r="27" spans="1:7" ht="15.5" x14ac:dyDescent="0.35">
      <c r="A27" s="12"/>
      <c r="B27" s="5"/>
      <c r="C27" s="5"/>
    </row>
    <row r="28" spans="1:7" x14ac:dyDescent="0.25">
      <c r="A28" s="4" t="s">
        <v>38</v>
      </c>
      <c r="B28" s="8">
        <f>TotalBasePay/2</f>
        <v>0</v>
      </c>
      <c r="F28" t="s">
        <v>79</v>
      </c>
      <c r="G28" t="s">
        <v>53</v>
      </c>
    </row>
    <row r="29" spans="1:7" x14ac:dyDescent="0.25">
      <c r="A29" s="4" t="s">
        <v>25</v>
      </c>
      <c r="B29" s="5">
        <f>PayThisCheck</f>
        <v>0</v>
      </c>
      <c r="C29" s="5"/>
      <c r="F29" t="s">
        <v>81</v>
      </c>
      <c r="G29" t="s">
        <v>53</v>
      </c>
    </row>
    <row r="30" spans="1:7" x14ac:dyDescent="0.25">
      <c r="A30" s="4" t="s">
        <v>65</v>
      </c>
      <c r="B30" s="5">
        <f>UnpaidLeaveHours</f>
        <v>0</v>
      </c>
      <c r="F30" t="s">
        <v>71</v>
      </c>
      <c r="G30" t="s">
        <v>89</v>
      </c>
    </row>
    <row r="31" spans="1:7" x14ac:dyDescent="0.25">
      <c r="A31" s="4"/>
      <c r="B31" s="5"/>
      <c r="C31" s="5"/>
      <c r="D31" s="6"/>
      <c r="F31" t="s">
        <v>30</v>
      </c>
      <c r="G31" t="s">
        <v>45</v>
      </c>
    </row>
    <row r="32" spans="1:7" x14ac:dyDescent="0.25">
      <c r="A32" s="4" t="s">
        <v>19</v>
      </c>
      <c r="B32" s="6" t="e">
        <f>VLOOKUP(PeriodEnd,PayPeriods[[Pay period end]:[Hours]],2,FALSE)</f>
        <v>#N/A</v>
      </c>
      <c r="F32" t="s">
        <v>19</v>
      </c>
      <c r="G32" t="s">
        <v>68</v>
      </c>
    </row>
    <row r="33" spans="1:7" x14ac:dyDescent="0.25">
      <c r="A33" s="4" t="s">
        <v>3</v>
      </c>
      <c r="B33" s="11" t="e">
        <f>VLOOKUP(PeriodEnd,PayPeriods[[Pay period end]:[Hours]],3,FALSE)</f>
        <v>#N/A</v>
      </c>
      <c r="F33" t="s">
        <v>90</v>
      </c>
      <c r="G33" t="s">
        <v>91</v>
      </c>
    </row>
    <row r="34" spans="1:7" s="14" customFormat="1" x14ac:dyDescent="0.25">
      <c r="A34" s="35" t="s">
        <v>93</v>
      </c>
      <c r="B34" s="11">
        <f>FtePercent</f>
        <v>0</v>
      </c>
      <c r="F34" s="14" t="s">
        <v>76</v>
      </c>
      <c r="G34" s="14" t="s">
        <v>15</v>
      </c>
    </row>
    <row r="35" spans="1:7" x14ac:dyDescent="0.25">
      <c r="A35" s="35" t="s">
        <v>88</v>
      </c>
      <c r="B35" s="11" t="e">
        <f>FtePercent*Hours</f>
        <v>#N/A</v>
      </c>
      <c r="C35" s="14"/>
      <c r="D35" s="6"/>
      <c r="F35" t="s">
        <v>31</v>
      </c>
      <c r="G35" t="s">
        <v>92</v>
      </c>
    </row>
    <row r="36" spans="1:7" x14ac:dyDescent="0.25">
      <c r="A36" s="4"/>
      <c r="B36" s="6"/>
      <c r="C36" s="14"/>
      <c r="F36" t="s">
        <v>3</v>
      </c>
      <c r="G36" t="s">
        <v>46</v>
      </c>
    </row>
    <row r="37" spans="1:7" x14ac:dyDescent="0.25">
      <c r="A37" s="4" t="s">
        <v>26</v>
      </c>
      <c r="B37" s="6" t="e">
        <f>RegularPayPerPeriod/Days</f>
        <v>#N/A</v>
      </c>
      <c r="F37" t="s">
        <v>82</v>
      </c>
      <c r="G37" t="s">
        <v>53</v>
      </c>
    </row>
    <row r="38" spans="1:7" x14ac:dyDescent="0.25">
      <c r="A38" s="4" t="s">
        <v>27</v>
      </c>
      <c r="B38" s="6" t="e">
        <f>RegularPayPerPeriod/FteHours</f>
        <v>#N/A</v>
      </c>
      <c r="C38" s="6"/>
      <c r="F38" t="s">
        <v>32</v>
      </c>
      <c r="G38" t="s">
        <v>83</v>
      </c>
    </row>
    <row r="39" spans="1:7" x14ac:dyDescent="0.25">
      <c r="A39" s="35" t="s">
        <v>78</v>
      </c>
      <c r="B39" s="6"/>
      <c r="C39" s="6"/>
      <c r="D39" s="14"/>
      <c r="F39" t="s">
        <v>12</v>
      </c>
      <c r="G39" t="s">
        <v>21</v>
      </c>
    </row>
    <row r="40" spans="1:7" x14ac:dyDescent="0.25">
      <c r="A40" s="4"/>
      <c r="B40" s="14"/>
      <c r="C40" s="14"/>
      <c r="F40" t="s">
        <v>48</v>
      </c>
      <c r="G40" t="s">
        <v>67</v>
      </c>
    </row>
    <row r="41" spans="1:7" x14ac:dyDescent="0.25">
      <c r="A41" s="4" t="s">
        <v>39</v>
      </c>
      <c r="B41" s="14" t="e">
        <f>UnpaidLeaveHours*HourlyRate</f>
        <v>#N/A</v>
      </c>
      <c r="C41" s="14"/>
      <c r="F41" t="s">
        <v>69</v>
      </c>
      <c r="G41" t="s">
        <v>14</v>
      </c>
    </row>
    <row r="42" spans="1:7" x14ac:dyDescent="0.25">
      <c r="A42" s="4" t="s">
        <v>66</v>
      </c>
      <c r="B42" s="6" t="e">
        <f>PayThisCheck+ValueUnpaidLeave</f>
        <v>#N/A</v>
      </c>
      <c r="C42" s="14"/>
      <c r="F42" t="s">
        <v>17</v>
      </c>
      <c r="G42" t="s">
        <v>22</v>
      </c>
    </row>
    <row r="43" spans="1:7" x14ac:dyDescent="0.25">
      <c r="A43" s="4"/>
      <c r="B43" s="6"/>
      <c r="F43" t="s">
        <v>49</v>
      </c>
      <c r="G43" t="s">
        <v>67</v>
      </c>
    </row>
    <row r="44" spans="1:7" x14ac:dyDescent="0.25">
      <c r="A44" s="13" t="s">
        <v>24</v>
      </c>
      <c r="B44" s="6" t="e">
        <f>PayPerPeriod-AdjustedTotalBase</f>
        <v>#N/A</v>
      </c>
      <c r="C44" s="6"/>
      <c r="F44" t="s">
        <v>50</v>
      </c>
      <c r="G44" t="s">
        <v>47</v>
      </c>
    </row>
    <row r="45" spans="1:7" x14ac:dyDescent="0.25">
      <c r="A45" s="13"/>
      <c r="B45" s="6"/>
      <c r="F45" t="s">
        <v>51</v>
      </c>
      <c r="G45" t="s">
        <v>70</v>
      </c>
    </row>
    <row r="46" spans="1:7" x14ac:dyDescent="0.25">
      <c r="A46" s="4" t="s">
        <v>40</v>
      </c>
      <c r="B46" t="e">
        <f>ToMakeUp/(HourlyRate)</f>
        <v>#N/A</v>
      </c>
      <c r="C46" s="23" t="e">
        <f>LeaveToEnter*(FtePercent*HourlyRate)</f>
        <v>#N/A</v>
      </c>
      <c r="F46" t="s">
        <v>23</v>
      </c>
      <c r="G46" t="s">
        <v>77</v>
      </c>
    </row>
    <row r="47" spans="1:7" x14ac:dyDescent="0.25">
      <c r="A47" s="4"/>
      <c r="B47" s="6"/>
      <c r="E47" s="6"/>
      <c r="F47" s="2" t="s">
        <v>52</v>
      </c>
      <c r="G47" t="s">
        <v>53</v>
      </c>
    </row>
    <row r="48" spans="1:7" x14ac:dyDescent="0.25">
      <c r="A48" s="4" t="s">
        <v>20</v>
      </c>
      <c r="B48" s="5" t="e">
        <f>(LeaveToEnter*(FtePercent*HourlyRate)+PayThisCheck+ValueUnpaidLeave)</f>
        <v>#N/A</v>
      </c>
      <c r="C48" s="6"/>
      <c r="D48" s="6"/>
      <c r="F48" t="s">
        <v>54</v>
      </c>
      <c r="G48" t="s">
        <v>16</v>
      </c>
    </row>
    <row r="49" spans="2:7" x14ac:dyDescent="0.25">
      <c r="F49" t="s">
        <v>55</v>
      </c>
      <c r="G49" t="s">
        <v>80</v>
      </c>
    </row>
    <row r="52" spans="2:7" x14ac:dyDescent="0.25">
      <c r="B52" s="6"/>
    </row>
    <row r="53" spans="2:7" x14ac:dyDescent="0.25">
      <c r="B53" s="6"/>
    </row>
    <row r="66" spans="1:2" x14ac:dyDescent="0.25">
      <c r="B66" s="6"/>
    </row>
    <row r="69" spans="1:2" x14ac:dyDescent="0.25">
      <c r="A69" s="4"/>
      <c r="B69" s="6"/>
    </row>
    <row r="70" spans="1:2" x14ac:dyDescent="0.25">
      <c r="A70" s="4"/>
    </row>
    <row r="71" spans="1:2" x14ac:dyDescent="0.25">
      <c r="A71" s="4"/>
    </row>
    <row r="72" spans="1:2" x14ac:dyDescent="0.25">
      <c r="A72" s="4"/>
      <c r="B72" s="5"/>
    </row>
    <row r="73" spans="1:2" x14ac:dyDescent="0.25">
      <c r="A73" s="4"/>
    </row>
    <row r="74" spans="1:2" x14ac:dyDescent="0.25">
      <c r="B74" s="6"/>
    </row>
    <row r="75" spans="1:2" x14ac:dyDescent="0.25">
      <c r="A75" s="4"/>
      <c r="B75" s="6"/>
    </row>
  </sheetData>
  <sheetProtection algorithmName="SHA-512" hashValue="hrE6BWdkiXzQSzvVEYVO9Zye07N+8CuCf0PTyq6XecUWEqP7dJ1GRHpVxQAGonOvm6aFVkwCIgmMBFa+RdQHfg==" saltValue="IJ39f/2i0XBx8lFvhKhXSA==" spinCount="100000" sheet="1" objects="1" scenarios="1" selectLockedCells="1" selectUnlockedCells="1"/>
  <hyperlinks>
    <hyperlink ref="A21" r:id="rId1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T52"/>
  <sheetViews>
    <sheetView topLeftCell="A16" workbookViewId="0">
      <selection activeCell="F30" sqref="F30"/>
    </sheetView>
  </sheetViews>
  <sheetFormatPr defaultRowHeight="12.5" x14ac:dyDescent="0.25"/>
  <cols>
    <col min="1" max="2" width="12.26953125" bestFit="1" customWidth="1"/>
    <col min="3" max="3" width="16" bestFit="1" customWidth="1"/>
    <col min="4" max="4" width="14.1796875" customWidth="1"/>
    <col min="5" max="5" width="14.1796875" style="15" customWidth="1"/>
    <col min="6" max="6" width="12.81640625" style="15" customWidth="1"/>
    <col min="7" max="7" width="12.81640625" customWidth="1"/>
    <col min="8" max="10" width="14.1796875" customWidth="1"/>
    <col min="11" max="20" width="11.7265625" customWidth="1"/>
  </cols>
  <sheetData>
    <row r="8" spans="2:20" x14ac:dyDescent="0.25">
      <c r="B8" t="s">
        <v>37</v>
      </c>
    </row>
    <row r="9" spans="2:20" x14ac:dyDescent="0.25">
      <c r="B9" t="s">
        <v>41</v>
      </c>
      <c r="C9" s="14" t="s">
        <v>18</v>
      </c>
      <c r="D9" s="15" t="s">
        <v>19</v>
      </c>
      <c r="E9" s="15" t="s">
        <v>3</v>
      </c>
      <c r="F9" s="15" t="s">
        <v>43</v>
      </c>
      <c r="G9" s="15" t="s">
        <v>44</v>
      </c>
      <c r="H9" s="15" t="s">
        <v>42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2:20" x14ac:dyDescent="0.25">
      <c r="B10" s="6">
        <v>3576</v>
      </c>
      <c r="C10" s="6">
        <f>B10/2</f>
        <v>1788</v>
      </c>
      <c r="D10" s="16">
        <v>11</v>
      </c>
      <c r="E10" s="16">
        <v>88</v>
      </c>
      <c r="F10" s="6">
        <f>C10/D10</f>
        <v>162.54545454545453</v>
      </c>
      <c r="G10" s="6">
        <f>C10/E10</f>
        <v>20.318181818181817</v>
      </c>
      <c r="H10" s="5">
        <f>G10*(2/3)</f>
        <v>13.545454545454543</v>
      </c>
      <c r="I10" s="6"/>
      <c r="J10" s="11"/>
      <c r="L10" s="6"/>
      <c r="M10" s="6"/>
      <c r="N10" s="6"/>
      <c r="O10" s="6"/>
      <c r="P10" s="6"/>
      <c r="Q10" s="6"/>
      <c r="R10" s="6"/>
      <c r="S10" s="6"/>
      <c r="T10" s="6"/>
    </row>
    <row r="11" spans="2:20" x14ac:dyDescent="0.25">
      <c r="B11" s="18">
        <v>3660</v>
      </c>
      <c r="C11" s="6">
        <f t="shared" ref="C11:C14" si="0">B11/2</f>
        <v>1830</v>
      </c>
      <c r="D11" s="16">
        <v>11</v>
      </c>
      <c r="E11" s="16">
        <v>88</v>
      </c>
      <c r="F11" s="6">
        <f t="shared" ref="F11:F14" si="1">C11/D11</f>
        <v>166.36363636363637</v>
      </c>
      <c r="G11" s="6">
        <f t="shared" ref="G11:G14" si="2">C11/E11</f>
        <v>20.795454545454547</v>
      </c>
      <c r="H11" s="5">
        <f t="shared" ref="H11:H14" si="3">G11*(2/3)</f>
        <v>13.863636363636363</v>
      </c>
      <c r="L11" s="6"/>
      <c r="M11" s="6"/>
      <c r="N11" s="6"/>
      <c r="O11" s="6"/>
      <c r="P11" s="6"/>
      <c r="Q11" s="6"/>
      <c r="R11" s="6"/>
      <c r="S11" s="6"/>
      <c r="T11" s="6"/>
    </row>
    <row r="12" spans="2:20" x14ac:dyDescent="0.25">
      <c r="B12" s="6">
        <v>8800</v>
      </c>
      <c r="C12" s="6">
        <f t="shared" si="0"/>
        <v>4400</v>
      </c>
      <c r="D12" s="16">
        <v>11</v>
      </c>
      <c r="E12" s="16">
        <v>88</v>
      </c>
      <c r="F12" s="6">
        <f t="shared" si="1"/>
        <v>400</v>
      </c>
      <c r="G12" s="6">
        <f t="shared" si="2"/>
        <v>50</v>
      </c>
      <c r="H12" s="5">
        <f t="shared" si="3"/>
        <v>33.333333333333329</v>
      </c>
      <c r="J12" s="6"/>
      <c r="K12" s="6"/>
      <c r="L12" s="6"/>
      <c r="M12" s="6"/>
      <c r="N12" s="11"/>
    </row>
    <row r="13" spans="2:20" x14ac:dyDescent="0.25">
      <c r="B13" s="6">
        <v>10700</v>
      </c>
      <c r="C13" s="6">
        <f t="shared" si="0"/>
        <v>5350</v>
      </c>
      <c r="D13" s="16">
        <v>11</v>
      </c>
      <c r="E13" s="16">
        <v>88</v>
      </c>
      <c r="F13" s="6">
        <f t="shared" si="1"/>
        <v>486.36363636363637</v>
      </c>
      <c r="G13" s="6">
        <f t="shared" si="2"/>
        <v>60.795454545454547</v>
      </c>
      <c r="H13" s="5">
        <f t="shared" si="3"/>
        <v>40.530303030303031</v>
      </c>
      <c r="J13" s="6"/>
      <c r="K13" s="6"/>
      <c r="L13" s="6"/>
      <c r="M13" s="6"/>
      <c r="N13" s="11"/>
      <c r="O13" s="11"/>
      <c r="P13" s="6"/>
      <c r="Q13" s="6"/>
    </row>
    <row r="14" spans="2:20" x14ac:dyDescent="0.25">
      <c r="B14" s="6">
        <v>14500</v>
      </c>
      <c r="C14" s="6">
        <f t="shared" si="0"/>
        <v>7250</v>
      </c>
      <c r="D14" s="16">
        <v>11</v>
      </c>
      <c r="E14" s="16">
        <v>88</v>
      </c>
      <c r="F14" s="6">
        <f t="shared" si="1"/>
        <v>659.09090909090912</v>
      </c>
      <c r="G14" s="6">
        <f t="shared" si="2"/>
        <v>82.38636363636364</v>
      </c>
      <c r="H14" s="5">
        <f t="shared" si="3"/>
        <v>54.924242424242422</v>
      </c>
      <c r="J14" s="6"/>
      <c r="K14" s="6"/>
      <c r="L14" s="6"/>
      <c r="M14" s="6"/>
      <c r="N14" s="11"/>
      <c r="O14" s="11"/>
      <c r="P14" s="6"/>
      <c r="Q14" s="6"/>
    </row>
    <row r="15" spans="2:20" x14ac:dyDescent="0.25">
      <c r="C15" s="14"/>
      <c r="E15"/>
      <c r="G15" s="15"/>
      <c r="O15" s="11"/>
      <c r="P15" s="6"/>
      <c r="Q15" s="6"/>
    </row>
    <row r="16" spans="2:20" x14ac:dyDescent="0.25">
      <c r="B16" s="6">
        <f>B10*2</f>
        <v>7152</v>
      </c>
      <c r="C16" s="6"/>
      <c r="E16"/>
      <c r="G16" s="15"/>
      <c r="O16" s="11"/>
      <c r="P16" s="6"/>
      <c r="Q16" s="6"/>
    </row>
    <row r="17" spans="2:17" x14ac:dyDescent="0.25">
      <c r="B17" s="6">
        <f>B38*2</f>
        <v>0</v>
      </c>
      <c r="C17" s="6"/>
      <c r="E17"/>
      <c r="G17" s="15"/>
      <c r="O17" s="11"/>
      <c r="P17" s="6"/>
      <c r="Q17" s="6"/>
    </row>
    <row r="18" spans="2:17" x14ac:dyDescent="0.25">
      <c r="B18" s="6">
        <f t="shared" ref="B18:B19" si="4">B12*2</f>
        <v>17600</v>
      </c>
      <c r="C18" s="6"/>
      <c r="E18"/>
      <c r="G18" s="15"/>
      <c r="M18" s="6"/>
      <c r="O18" s="11"/>
      <c r="P18" s="6"/>
      <c r="Q18" s="6"/>
    </row>
    <row r="19" spans="2:17" x14ac:dyDescent="0.25">
      <c r="B19" s="6">
        <f t="shared" si="4"/>
        <v>21400</v>
      </c>
      <c r="C19" s="6"/>
      <c r="E19"/>
      <c r="G19" s="15"/>
      <c r="O19" s="11"/>
      <c r="P19" s="6"/>
      <c r="Q19" s="6"/>
    </row>
    <row r="20" spans="2:17" x14ac:dyDescent="0.25">
      <c r="B20" s="6">
        <f>B14*2</f>
        <v>29000</v>
      </c>
      <c r="C20" s="6"/>
      <c r="E20" t="s">
        <v>36</v>
      </c>
      <c r="G20" s="15"/>
      <c r="O20" s="11"/>
      <c r="P20" s="6"/>
      <c r="Q20" s="6"/>
    </row>
    <row r="21" spans="2:17" x14ac:dyDescent="0.25">
      <c r="B21" s="6"/>
      <c r="D21" s="17" t="s">
        <v>28</v>
      </c>
      <c r="E21" s="17" t="s">
        <v>3</v>
      </c>
      <c r="F21" s="17" t="s">
        <v>29</v>
      </c>
      <c r="O21" s="11"/>
      <c r="P21" s="6"/>
      <c r="Q21" s="6"/>
    </row>
    <row r="22" spans="2:17" x14ac:dyDescent="0.25">
      <c r="C22" s="4" t="s">
        <v>33</v>
      </c>
      <c r="E22" s="15">
        <v>88</v>
      </c>
      <c r="F22" s="15">
        <f>B11/E22</f>
        <v>41.590909090909093</v>
      </c>
      <c r="G22" s="5"/>
      <c r="H22" s="6">
        <f>B11*2</f>
        <v>7320</v>
      </c>
      <c r="O22" s="11"/>
      <c r="P22" s="6"/>
      <c r="Q22" s="6"/>
    </row>
    <row r="23" spans="2:17" x14ac:dyDescent="0.25">
      <c r="C23" s="4" t="s">
        <v>34</v>
      </c>
      <c r="D23" s="18">
        <v>2229.3000000000002</v>
      </c>
      <c r="E23" s="15">
        <f>D23/B11</f>
        <v>0.60909836065573775</v>
      </c>
      <c r="P23" s="6"/>
      <c r="Q23" s="6"/>
    </row>
    <row r="24" spans="2:17" x14ac:dyDescent="0.25">
      <c r="C24" s="4" t="s">
        <v>35</v>
      </c>
      <c r="D24" s="18">
        <v>332.73</v>
      </c>
    </row>
    <row r="25" spans="2:17" x14ac:dyDescent="0.25">
      <c r="C25" s="4"/>
      <c r="D25" s="21">
        <f>SUM(D23:D24)</f>
        <v>2562.0300000000002</v>
      </c>
    </row>
    <row r="26" spans="2:17" x14ac:dyDescent="0.25">
      <c r="D26" s="18">
        <f>B11-(D23+D24)</f>
        <v>1097.9699999999998</v>
      </c>
    </row>
    <row r="27" spans="2:17" x14ac:dyDescent="0.25">
      <c r="D27" s="6"/>
    </row>
    <row r="28" spans="2:17" x14ac:dyDescent="0.25">
      <c r="E28" s="24" t="s">
        <v>72</v>
      </c>
      <c r="F28" s="25"/>
    </row>
    <row r="29" spans="2:17" x14ac:dyDescent="0.25">
      <c r="C29" s="14"/>
      <c r="D29" s="5"/>
      <c r="E29" s="14" t="s">
        <v>59</v>
      </c>
      <c r="F29" s="5">
        <v>10000</v>
      </c>
    </row>
    <row r="30" spans="2:17" x14ac:dyDescent="0.25">
      <c r="C30" s="4"/>
      <c r="D30" s="18"/>
      <c r="E30" s="14" t="s">
        <v>60</v>
      </c>
      <c r="F30" s="5">
        <f>F29/2</f>
        <v>5000</v>
      </c>
    </row>
    <row r="31" spans="2:17" x14ac:dyDescent="0.25">
      <c r="C31" s="4"/>
      <c r="D31" s="22"/>
      <c r="E31" t="s">
        <v>19</v>
      </c>
      <c r="F31">
        <v>11</v>
      </c>
    </row>
    <row r="32" spans="2:17" x14ac:dyDescent="0.25">
      <c r="C32" s="4"/>
      <c r="D32" s="22"/>
      <c r="E32" t="s">
        <v>3</v>
      </c>
      <c r="F32">
        <v>88</v>
      </c>
    </row>
    <row r="33" spans="3:6" x14ac:dyDescent="0.25">
      <c r="C33" s="4"/>
      <c r="D33" s="6"/>
      <c r="E33" t="s">
        <v>61</v>
      </c>
      <c r="F33" s="5">
        <f>F30/F31</f>
        <v>454.54545454545456</v>
      </c>
    </row>
    <row r="34" spans="3:6" x14ac:dyDescent="0.25">
      <c r="D34" s="21"/>
      <c r="E34" t="s">
        <v>62</v>
      </c>
      <c r="F34" s="5">
        <f>F30/F32</f>
        <v>56.81818181818182</v>
      </c>
    </row>
    <row r="35" spans="3:6" s="14" customFormat="1" x14ac:dyDescent="0.25">
      <c r="C35" s="4"/>
      <c r="D35" s="6"/>
      <c r="E35"/>
    </row>
    <row r="36" spans="3:6" s="14" customFormat="1" x14ac:dyDescent="0.25">
      <c r="E36" s="4" t="s">
        <v>56</v>
      </c>
      <c r="F36" s="11">
        <v>16</v>
      </c>
    </row>
    <row r="37" spans="3:6" x14ac:dyDescent="0.25">
      <c r="E37" s="4" t="s">
        <v>57</v>
      </c>
      <c r="F37" s="5">
        <f>F34*F36*(2/3)</f>
        <v>606.06060606060601</v>
      </c>
    </row>
    <row r="38" spans="3:6" x14ac:dyDescent="0.25">
      <c r="E38" s="4" t="s">
        <v>58</v>
      </c>
      <c r="F38" s="6">
        <f>F30-(F36*F34)+(F37)</f>
        <v>4696.969696969697</v>
      </c>
    </row>
    <row r="39" spans="3:6" x14ac:dyDescent="0.25">
      <c r="E39" s="4"/>
      <c r="F39" s="6"/>
    </row>
    <row r="40" spans="3:6" x14ac:dyDescent="0.25">
      <c r="E40" s="14" t="s">
        <v>63</v>
      </c>
      <c r="F40" s="14">
        <v>4</v>
      </c>
    </row>
    <row r="41" spans="3:6" x14ac:dyDescent="0.25">
      <c r="E41" s="14" t="s">
        <v>64</v>
      </c>
      <c r="F41" s="6">
        <f>F40*F34</f>
        <v>227.27272727272728</v>
      </c>
    </row>
    <row r="42" spans="3:6" x14ac:dyDescent="0.25">
      <c r="E42"/>
      <c r="F42"/>
    </row>
    <row r="43" spans="3:6" x14ac:dyDescent="0.25">
      <c r="E43" t="s">
        <v>58</v>
      </c>
      <c r="F43" s="5">
        <f>F38-F41</f>
        <v>4469.69696969697</v>
      </c>
    </row>
    <row r="44" spans="3:6" x14ac:dyDescent="0.25">
      <c r="E44"/>
      <c r="F44" s="6"/>
    </row>
    <row r="45" spans="3:6" x14ac:dyDescent="0.25">
      <c r="E45" s="35"/>
      <c r="F45" s="6"/>
    </row>
    <row r="46" spans="3:6" x14ac:dyDescent="0.25">
      <c r="E46"/>
      <c r="F46"/>
    </row>
    <row r="51" spans="4:4" x14ac:dyDescent="0.25">
      <c r="D51" s="6"/>
    </row>
    <row r="52" spans="4:4" x14ac:dyDescent="0.25">
      <c r="D52" s="6"/>
    </row>
  </sheetData>
  <sheetProtection algorithmName="SHA-512" hashValue="C6fqsGKUOvySpXd7/jXJo3ynqheMweLFwS0YkX0QyDpy4iSIjcCF5HMSP+vknUeRBlXS9otZu9JIRXsqF9xbWA==" saltValue="DzlGRo+ZCjkFHStyuRwFW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Top up calculator</vt:lpstr>
      <vt:lpstr>LISTS</vt:lpstr>
      <vt:lpstr>Test values</vt:lpstr>
      <vt:lpstr>AdjustedTotalBase</vt:lpstr>
      <vt:lpstr>DailyRate</vt:lpstr>
      <vt:lpstr>Days</vt:lpstr>
      <vt:lpstr>FteHours</vt:lpstr>
      <vt:lpstr>FtePercent</vt:lpstr>
      <vt:lpstr>HourlyRate</vt:lpstr>
      <vt:lpstr>Hours</vt:lpstr>
      <vt:lpstr>LeaveToEnter</vt:lpstr>
      <vt:lpstr>PayPerPeriod</vt:lpstr>
      <vt:lpstr>PayThisCheck</vt:lpstr>
      <vt:lpstr>PeriodEnd</vt:lpstr>
      <vt:lpstr>RegularPayPerPeriod</vt:lpstr>
      <vt:lpstr>ToMakeUp</vt:lpstr>
      <vt:lpstr>TopUpCheck</vt:lpstr>
      <vt:lpstr>TotalBasePay</vt:lpstr>
      <vt:lpstr>UnpaidLeaveHours</vt:lpstr>
      <vt:lpstr>ValueUnpaidLeave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W Greenfest</dc:creator>
  <cp:lastModifiedBy>Seth W. Greenfest</cp:lastModifiedBy>
  <dcterms:created xsi:type="dcterms:W3CDTF">2020-04-23T19:27:25Z</dcterms:created>
  <dcterms:modified xsi:type="dcterms:W3CDTF">2020-05-26T23:32:06Z</dcterms:modified>
</cp:coreProperties>
</file>